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ric_ham_maine_gov/Documents/Desktop/Culvert Replacement Grant/"/>
    </mc:Choice>
  </mc:AlternateContent>
  <xr:revisionPtr revIDLastSave="0" documentId="14_{D67BB56A-D9FC-4AEA-9185-3A1C701D74BB}" xr6:coauthVersionLast="47" xr6:coauthVersionMax="47" xr10:uidLastSave="{00000000-0000-0000-0000-000000000000}"/>
  <bookViews>
    <workbookView xWindow="-120" yWindow="-120" windowWidth="29040" windowHeight="15840" xr2:uid="{05D33688-26EE-493C-AB22-ABB856916D55}"/>
  </bookViews>
  <sheets>
    <sheet name="Sheet1" sheetId="1" r:id="rId1"/>
  </sheets>
  <definedNames>
    <definedName name="_xlnm.Print_Area" localSheetId="0">Sheet1!$A$1:$P$14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I6" i="1"/>
  <c r="I7" i="1"/>
  <c r="P6" i="1"/>
  <c r="P7" i="1"/>
  <c r="H3" i="1"/>
  <c r="H4" i="1"/>
  <c r="H5" i="1"/>
  <c r="H6" i="1"/>
  <c r="H7" i="1"/>
  <c r="H8" i="1"/>
  <c r="I8" i="1" s="1"/>
  <c r="H2" i="1"/>
  <c r="I2" i="1" s="1"/>
  <c r="M5" i="1" l="1"/>
  <c r="P5" i="1"/>
  <c r="P2" i="1"/>
  <c r="M2" i="1"/>
  <c r="N2" i="1" l="1"/>
  <c r="N5" i="1"/>
  <c r="P8" i="1"/>
  <c r="P3" i="1"/>
  <c r="I3" i="1" l="1"/>
  <c r="I4" i="1"/>
  <c r="M4" i="1"/>
  <c r="N4" i="1" s="1"/>
  <c r="P4" i="1"/>
  <c r="H10" i="1" l="1"/>
  <c r="M8" i="1"/>
  <c r="M7" i="1"/>
  <c r="N7" i="1" s="1"/>
  <c r="M6" i="1"/>
  <c r="N3" i="1"/>
  <c r="J10" i="1"/>
  <c r="I5" i="1"/>
  <c r="N6" i="1" l="1"/>
  <c r="N8" i="1"/>
  <c r="M10" i="1"/>
  <c r="I10" i="1"/>
  <c r="P10" i="1" l="1"/>
</calcChain>
</file>

<file path=xl/sharedStrings.xml><?xml version="1.0" encoding="utf-8"?>
<sst xmlns="http://schemas.openxmlformats.org/spreadsheetml/2006/main" count="55" uniqueCount="38">
  <si>
    <t>Construction Cost Estimate in 2023 Dollars</t>
  </si>
  <si>
    <t>TOTAL</t>
  </si>
  <si>
    <t>Match Source</t>
  </si>
  <si>
    <t>Total FY2022 Culvert AOP Request</t>
  </si>
  <si>
    <t>Bundle ID</t>
  </si>
  <si>
    <t>Stream</t>
  </si>
  <si>
    <t>Asset Name</t>
  </si>
  <si>
    <t>MaineDOT Asset ID</t>
  </si>
  <si>
    <r>
      <t>MSHV ID</t>
    </r>
    <r>
      <rPr>
        <b/>
        <vertAlign val="superscript"/>
        <sz val="10"/>
        <color theme="1"/>
        <rFont val="Times New Roman"/>
        <family val="1"/>
      </rPr>
      <t>1</t>
    </r>
  </si>
  <si>
    <t>Town</t>
  </si>
  <si>
    <t>Central Maine</t>
  </si>
  <si>
    <t>Pattees Pond Outlet</t>
  </si>
  <si>
    <t>Fish Bridge</t>
  </si>
  <si>
    <t>0509</t>
  </si>
  <si>
    <t>Winslow</t>
  </si>
  <si>
    <t>Ben Brook 1</t>
  </si>
  <si>
    <t>John Erskine Bridge</t>
  </si>
  <si>
    <t>Alna</t>
  </si>
  <si>
    <t>Ben Brook 2</t>
  </si>
  <si>
    <t>N/A</t>
  </si>
  <si>
    <t>0610</t>
  </si>
  <si>
    <t>Morton Brook (aka Nehumkeag Brook)</t>
  </si>
  <si>
    <t>Pittston</t>
  </si>
  <si>
    <t>Threemile Stream</t>
  </si>
  <si>
    <t>Vassalboro</t>
  </si>
  <si>
    <t>Castner Brook</t>
  </si>
  <si>
    <t>Damariscotta</t>
  </si>
  <si>
    <t>Chopps Creek</t>
  </si>
  <si>
    <t>Woolwich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</si>
  <si>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MSHV = Maine Stream Habitat Viewer ID (https://webapps2.cgis-solutions.com/MaineStreamViewer/).</t>
    </r>
  </si>
  <si>
    <t>Match %</t>
  </si>
  <si>
    <t>Maine State Highway Fund</t>
  </si>
  <si>
    <t>Estimated Non-federal Match Amount in 2023 Dollars</t>
  </si>
  <si>
    <t>Pre-Construction Cost Estimate in 2023 Dollars</t>
  </si>
  <si>
    <t>DMR/Town</t>
  </si>
  <si>
    <t>MaineDOT FHWA Formula Funds</t>
  </si>
  <si>
    <t>Municipal Collected Federal Funds</t>
  </si>
  <si>
    <t xml:space="preserve"> Total Cost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</si>
</sst>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9" fontId="4" fillId="3" borderId="7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0" xfId="0" applyNumberFormat="1" applyFont="1" applyFill="1" applyBorder="1" applyAlignment="1">
      <alignment horizontal="righ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C529-8616-43EA-A1B1-0898FDF26A6C}">
  <sheetPr>
    <pageSetUpPr fitToPage="1"/>
  </sheetPr>
  <dimension ref="A1:P20"/>
  <sheetViews>
    <sheetView tabSelected="1" view="pageLayout" zoomScale="75" zoomScaleNormal="75" zoomScalePageLayoutView="75" workbookViewId="0">
      <selection activeCell="B15" sqref="B15"/>
    </sheetView>
  </sheetViews>
  <sheetFormatPr defaultRowHeight="15" x14ac:dyDescent="0.25"/>
  <cols>
    <col min="1" max="1" width="9.140625" style="1" customWidth="1"/>
    <col min="2" max="2" width="18.42578125" style="1" customWidth="1"/>
    <col min="3" max="3" width="18.42578125" style="1" hidden="1" customWidth="1"/>
    <col min="4" max="4" width="10.140625" style="1" customWidth="1"/>
    <col min="5" max="5" width="11.140625" style="1" customWidth="1"/>
    <col min="6" max="6" width="10.140625" style="1" customWidth="1"/>
    <col min="7" max="7" width="11.42578125" style="1" customWidth="1"/>
    <col min="8" max="8" width="13.5703125" style="1" customWidth="1"/>
    <col min="9" max="9" width="16.140625" style="1" customWidth="1"/>
    <col min="10" max="10" width="18.28515625" style="2" customWidth="1"/>
    <col min="11" max="11" width="13.5703125" style="2" customWidth="1"/>
    <col min="12" max="12" width="14.140625" style="2" customWidth="1"/>
    <col min="13" max="13" width="14.7109375" style="2" bestFit="1" customWidth="1"/>
    <col min="14" max="16" width="13.85546875" style="2" customWidth="1"/>
  </cols>
  <sheetData>
    <row r="1" spans="1:16" ht="86.25" customHeight="1" thickTop="1" thickBot="1" x14ac:dyDescent="0.3">
      <c r="A1" s="3" t="s">
        <v>4</v>
      </c>
      <c r="B1" s="4" t="s">
        <v>5</v>
      </c>
      <c r="C1" s="4" t="s">
        <v>6</v>
      </c>
      <c r="D1" s="4" t="s">
        <v>7</v>
      </c>
      <c r="E1" s="4" t="s">
        <v>7</v>
      </c>
      <c r="F1" s="4" t="s">
        <v>8</v>
      </c>
      <c r="G1" s="4" t="s">
        <v>9</v>
      </c>
      <c r="H1" s="4" t="s">
        <v>33</v>
      </c>
      <c r="I1" s="4" t="s">
        <v>0</v>
      </c>
      <c r="J1" s="4" t="s">
        <v>37</v>
      </c>
      <c r="K1" s="4" t="s">
        <v>36</v>
      </c>
      <c r="L1" s="44" t="s">
        <v>35</v>
      </c>
      <c r="M1" s="4" t="s">
        <v>32</v>
      </c>
      <c r="N1" s="4" t="s">
        <v>30</v>
      </c>
      <c r="O1" s="4" t="s">
        <v>2</v>
      </c>
      <c r="P1" s="4" t="s">
        <v>3</v>
      </c>
    </row>
    <row r="2" spans="1:16" ht="32.1" customHeight="1" thickTop="1" x14ac:dyDescent="0.25">
      <c r="A2" s="37" t="s">
        <v>10</v>
      </c>
      <c r="B2" s="16" t="s">
        <v>11</v>
      </c>
      <c r="C2" s="16" t="s">
        <v>12</v>
      </c>
      <c r="D2" s="17" t="s">
        <v>13</v>
      </c>
      <c r="E2" s="17" t="s">
        <v>13</v>
      </c>
      <c r="F2" s="16">
        <v>16433</v>
      </c>
      <c r="G2" s="16" t="s">
        <v>14</v>
      </c>
      <c r="H2" s="18">
        <f>J2*0.11</f>
        <v>275000</v>
      </c>
      <c r="I2" s="18">
        <f>J2-H2</f>
        <v>2225000</v>
      </c>
      <c r="J2" s="18">
        <v>2500000</v>
      </c>
      <c r="K2" s="18">
        <v>0</v>
      </c>
      <c r="L2" s="18">
        <v>260000</v>
      </c>
      <c r="M2" s="18">
        <f>(J2-L2)*0.2</f>
        <v>448000</v>
      </c>
      <c r="N2" s="19">
        <f>(M2/(J2-L2))</f>
        <v>0.2</v>
      </c>
      <c r="O2" s="18" t="s">
        <v>31</v>
      </c>
      <c r="P2" s="18">
        <f>(J2-L2)*0.8</f>
        <v>1792000</v>
      </c>
    </row>
    <row r="3" spans="1:16" ht="29.1" customHeight="1" x14ac:dyDescent="0.25">
      <c r="A3" s="38"/>
      <c r="B3" s="20" t="s">
        <v>15</v>
      </c>
      <c r="C3" s="20" t="s">
        <v>16</v>
      </c>
      <c r="D3" s="20">
        <v>3639</v>
      </c>
      <c r="E3" s="20">
        <v>3639</v>
      </c>
      <c r="F3" s="20">
        <v>3713</v>
      </c>
      <c r="G3" s="20" t="s">
        <v>17</v>
      </c>
      <c r="H3" s="18">
        <f t="shared" ref="H3:H8" si="0">J3*0.11</f>
        <v>176000</v>
      </c>
      <c r="I3" s="18">
        <f t="shared" ref="I2:I8" si="1">J3-H3</f>
        <v>1424000</v>
      </c>
      <c r="J3" s="22">
        <v>1600000</v>
      </c>
      <c r="K3" s="22">
        <v>0</v>
      </c>
      <c r="L3" s="22">
        <v>0</v>
      </c>
      <c r="M3" s="18">
        <f>(J3-L3)*0.2</f>
        <v>320000</v>
      </c>
      <c r="N3" s="23">
        <f>(M3/J3)</f>
        <v>0.2</v>
      </c>
      <c r="O3" s="18" t="s">
        <v>31</v>
      </c>
      <c r="P3" s="18">
        <f>J3*0.8</f>
        <v>1280000</v>
      </c>
    </row>
    <row r="4" spans="1:16" ht="26.45" customHeight="1" x14ac:dyDescent="0.25">
      <c r="A4" s="38"/>
      <c r="B4" s="20" t="s">
        <v>18</v>
      </c>
      <c r="C4" s="20" t="s">
        <v>19</v>
      </c>
      <c r="D4" s="24" t="s">
        <v>20</v>
      </c>
      <c r="E4" s="24" t="s">
        <v>20</v>
      </c>
      <c r="F4" s="20">
        <v>3747</v>
      </c>
      <c r="G4" s="20" t="s">
        <v>17</v>
      </c>
      <c r="H4" s="18">
        <f t="shared" si="0"/>
        <v>162901.20000000001</v>
      </c>
      <c r="I4" s="18">
        <f t="shared" si="1"/>
        <v>1318018.8</v>
      </c>
      <c r="J4" s="22">
        <v>1480920</v>
      </c>
      <c r="K4" s="22">
        <v>645000</v>
      </c>
      <c r="L4" s="22">
        <v>0</v>
      </c>
      <c r="M4" s="22">
        <f>(J4-L4)*0.2</f>
        <v>296184</v>
      </c>
      <c r="N4" s="19">
        <f>M4/ (J4-L4)</f>
        <v>0.2</v>
      </c>
      <c r="O4" s="22" t="s">
        <v>34</v>
      </c>
      <c r="P4" s="22">
        <f>(J4-L4) *0.8</f>
        <v>1184736</v>
      </c>
    </row>
    <row r="5" spans="1:16" ht="30.6" customHeight="1" x14ac:dyDescent="0.25">
      <c r="A5" s="38"/>
      <c r="B5" s="20" t="s">
        <v>21</v>
      </c>
      <c r="C5" s="20" t="s">
        <v>19</v>
      </c>
      <c r="D5" s="20">
        <v>5283</v>
      </c>
      <c r="E5" s="20">
        <v>5283</v>
      </c>
      <c r="F5" s="20">
        <v>16169</v>
      </c>
      <c r="G5" s="20" t="s">
        <v>22</v>
      </c>
      <c r="H5" s="18">
        <f t="shared" si="0"/>
        <v>242000</v>
      </c>
      <c r="I5" s="21">
        <f t="shared" si="1"/>
        <v>1958000</v>
      </c>
      <c r="J5" s="22">
        <v>2200000</v>
      </c>
      <c r="K5" s="22">
        <v>0</v>
      </c>
      <c r="L5" s="22">
        <v>132393.56</v>
      </c>
      <c r="M5" s="22">
        <f>(J5-L5)*0.2</f>
        <v>413521.288</v>
      </c>
      <c r="N5" s="23">
        <f>(M5/(J5-L5))</f>
        <v>0.2</v>
      </c>
      <c r="O5" s="18" t="s">
        <v>31</v>
      </c>
      <c r="P5" s="22">
        <f>(J5-L5)*0.8</f>
        <v>1654085.152</v>
      </c>
    </row>
    <row r="6" spans="1:16" ht="26.45" customHeight="1" x14ac:dyDescent="0.25">
      <c r="A6" s="38"/>
      <c r="B6" s="24" t="s">
        <v>23</v>
      </c>
      <c r="C6" s="24" t="s">
        <v>19</v>
      </c>
      <c r="D6" s="20" t="s">
        <v>19</v>
      </c>
      <c r="E6" s="20" t="s">
        <v>19</v>
      </c>
      <c r="F6" s="24">
        <v>16194</v>
      </c>
      <c r="G6" s="24" t="s">
        <v>24</v>
      </c>
      <c r="H6" s="18">
        <f t="shared" si="0"/>
        <v>215270</v>
      </c>
      <c r="I6" s="18">
        <f>J6-H6</f>
        <v>1741730</v>
      </c>
      <c r="J6" s="22">
        <v>1957000</v>
      </c>
      <c r="K6" s="22">
        <v>0</v>
      </c>
      <c r="L6" s="22">
        <v>0</v>
      </c>
      <c r="M6" s="22">
        <f>J6*0.2</f>
        <v>391400</v>
      </c>
      <c r="N6" s="23">
        <f>(M6/J6)</f>
        <v>0.2</v>
      </c>
      <c r="O6" s="18" t="s">
        <v>31</v>
      </c>
      <c r="P6" s="22">
        <f>J6*0.8</f>
        <v>1565600</v>
      </c>
    </row>
    <row r="7" spans="1:16" ht="24" customHeight="1" x14ac:dyDescent="0.25">
      <c r="A7" s="38"/>
      <c r="B7" s="24" t="s">
        <v>25</v>
      </c>
      <c r="C7" s="24" t="s">
        <v>19</v>
      </c>
      <c r="D7" s="20" t="s">
        <v>19</v>
      </c>
      <c r="E7" s="20" t="s">
        <v>19</v>
      </c>
      <c r="F7" s="20">
        <v>14145</v>
      </c>
      <c r="G7" s="24" t="s">
        <v>26</v>
      </c>
      <c r="H7" s="18">
        <f t="shared" si="0"/>
        <v>107910</v>
      </c>
      <c r="I7" s="18">
        <f t="shared" si="1"/>
        <v>873090</v>
      </c>
      <c r="J7" s="22">
        <v>981000</v>
      </c>
      <c r="K7" s="22">
        <v>0</v>
      </c>
      <c r="L7" s="22">
        <v>0</v>
      </c>
      <c r="M7" s="22">
        <f>J7*0.2</f>
        <v>196200</v>
      </c>
      <c r="N7" s="23">
        <f>(M7/J7)</f>
        <v>0.2</v>
      </c>
      <c r="O7" s="22" t="s">
        <v>34</v>
      </c>
      <c r="P7" s="22">
        <f>J7*0.8</f>
        <v>784800</v>
      </c>
    </row>
    <row r="8" spans="1:16" ht="30" customHeight="1" thickBot="1" x14ac:dyDescent="0.3">
      <c r="A8" s="39"/>
      <c r="B8" s="25" t="s">
        <v>27</v>
      </c>
      <c r="C8" s="25" t="s">
        <v>19</v>
      </c>
      <c r="D8" s="25">
        <v>5584</v>
      </c>
      <c r="E8" s="25">
        <v>5584</v>
      </c>
      <c r="F8" s="25">
        <v>16139</v>
      </c>
      <c r="G8" s="25" t="s">
        <v>28</v>
      </c>
      <c r="H8" s="18">
        <f t="shared" si="0"/>
        <v>165000</v>
      </c>
      <c r="I8" s="18">
        <f t="shared" si="1"/>
        <v>1335000</v>
      </c>
      <c r="J8" s="26">
        <v>1500000</v>
      </c>
      <c r="K8" s="26">
        <v>0</v>
      </c>
      <c r="L8" s="26">
        <v>0</v>
      </c>
      <c r="M8" s="26">
        <f>J8*0.2</f>
        <v>300000</v>
      </c>
      <c r="N8" s="27">
        <f>(M8/J8)</f>
        <v>0.2</v>
      </c>
      <c r="O8" s="18" t="s">
        <v>31</v>
      </c>
      <c r="P8" s="26">
        <f>J8*0.8</f>
        <v>1200000</v>
      </c>
    </row>
    <row r="9" spans="1:16" ht="2.1" customHeight="1" thickTop="1" thickBot="1" x14ac:dyDescent="0.3">
      <c r="A9" s="28"/>
      <c r="B9" s="28"/>
      <c r="C9" s="28"/>
      <c r="D9" s="28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/>
    </row>
    <row r="10" spans="1:16" ht="15.75" thickBot="1" x14ac:dyDescent="0.3">
      <c r="A10" s="28"/>
      <c r="B10" s="28"/>
      <c r="C10" s="28"/>
      <c r="D10" s="28"/>
      <c r="E10" s="28"/>
      <c r="F10" s="28"/>
      <c r="G10" s="30" t="s">
        <v>1</v>
      </c>
      <c r="H10" s="31">
        <f>SUM(H2:H8)</f>
        <v>1344081.2</v>
      </c>
      <c r="I10" s="32">
        <f>SUM(I2:I8)</f>
        <v>10874838.800000001</v>
      </c>
      <c r="J10" s="32">
        <f>SUM(J2:J8)</f>
        <v>12218920</v>
      </c>
      <c r="K10" s="32"/>
      <c r="L10" s="33"/>
      <c r="M10" s="32">
        <f>SUM(M2:M8)</f>
        <v>2365305.2879999997</v>
      </c>
      <c r="N10" s="33"/>
      <c r="O10" s="33"/>
      <c r="P10" s="32">
        <f>SUM(P2:P8)</f>
        <v>9461221.1519999988</v>
      </c>
    </row>
    <row r="11" spans="1:16" x14ac:dyDescent="0.25">
      <c r="A11" s="42" t="s">
        <v>29</v>
      </c>
      <c r="B11" s="42"/>
      <c r="C11" s="42"/>
      <c r="D11" s="42"/>
      <c r="E11" s="42"/>
      <c r="F11" s="4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15.75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12"/>
      <c r="M12" s="13"/>
      <c r="N12" s="13"/>
      <c r="O12" s="13"/>
      <c r="P12" s="13"/>
    </row>
    <row r="13" spans="1:16" ht="15.75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10"/>
      <c r="M13" s="10"/>
      <c r="N13" s="10"/>
      <c r="O13" s="10"/>
      <c r="P13" s="10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14"/>
      <c r="K14" s="11"/>
      <c r="L14" s="15"/>
      <c r="M14" s="11"/>
      <c r="N14" s="11"/>
      <c r="O14" s="9"/>
      <c r="P14" s="9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35"/>
      <c r="K15" s="7"/>
      <c r="L15" s="10"/>
      <c r="M15" s="7"/>
      <c r="N15" s="7"/>
      <c r="O15" s="5"/>
      <c r="P15" s="5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36"/>
      <c r="K16" s="8"/>
      <c r="L16" s="11"/>
      <c r="M16" s="8"/>
      <c r="N16" s="8"/>
      <c r="O16" s="5"/>
      <c r="P16" s="5"/>
    </row>
    <row r="17" spans="1:12" x14ac:dyDescent="0.25">
      <c r="A17"/>
      <c r="B17"/>
      <c r="C17"/>
      <c r="D17"/>
      <c r="E17"/>
      <c r="F17"/>
      <c r="G17"/>
      <c r="H17" s="2"/>
      <c r="I17" s="2"/>
    </row>
    <row r="18" spans="1:12" x14ac:dyDescent="0.25">
      <c r="L18" s="34"/>
    </row>
    <row r="20" spans="1:12" x14ac:dyDescent="0.25">
      <c r="I20" s="43"/>
      <c r="J20" s="34"/>
    </row>
  </sheetData>
  <mergeCells count="5">
    <mergeCell ref="J15:J16"/>
    <mergeCell ref="A2:A8"/>
    <mergeCell ref="A12:K12"/>
    <mergeCell ref="A11:P11"/>
    <mergeCell ref="A13:K13"/>
  </mergeCells>
  <printOptions horizontalCentered="1" verticalCentered="1" gridLines="1"/>
  <pageMargins left="0.7" right="0.7" top="0.75" bottom="0.75" header="0.3" footer="0.3"/>
  <pageSetup scale="60" fitToHeight="0" orientation="landscape" r:id="rId1"/>
  <headerFooter>
    <oddHeader>&amp;C&amp;"Times New Roman,Regular"Attachment 4 - Project Costs
MaineDOT and DMR FY2022 Culvert AOP Application
February 6,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jugates.Updater</dc:creator>
  <cp:lastModifiedBy>Ham, Eric</cp:lastModifiedBy>
  <cp:lastPrinted>2023-02-06T11:59:10Z</cp:lastPrinted>
  <dcterms:created xsi:type="dcterms:W3CDTF">2023-01-24T21:02:44Z</dcterms:created>
  <dcterms:modified xsi:type="dcterms:W3CDTF">2023-02-06T17:41:20Z</dcterms:modified>
</cp:coreProperties>
</file>